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or" sheetId="1" r:id="rId5"/>
    <sheet state="visible" name="Scenarios" sheetId="2" r:id="rId6"/>
    <sheet state="visible" name="Product Economics" sheetId="3" r:id="rId7"/>
    <sheet state="visible" name="Pack Comparison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7">
      <text>
        <t xml:space="preserve">Admin earns ₹600–₹1,000 per loan. ₹800 used as midpoint for calculation.</t>
      </text>
    </comment>
    <comment authorId="0" ref="F17">
      <text>
        <t xml:space="preserve">Range: ₹600–₹1,000 per loan
₹800 used as midpoint for calculation.</t>
      </text>
    </comment>
    <comment authorId="0" ref="C7">
      <text>
        <t xml:space="preserve">Typical ranges:
• Starter operator: ₹5L–₹30L
• Business distributor: ₹20L–₹5Cr
• Network operator: ₹5Cr+
Default ₹15L = established Business scenario.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1">
      <text>
        <t xml:space="preserve">Range: ₹600–₹1,000 per loan originated.
₹800 used as midpoint for calculations.</t>
      </text>
    </comment>
  </commentList>
</comments>
</file>

<file path=xl/sharedStrings.xml><?xml version="1.0" encoding="utf-8"?>
<sst xmlns="http://schemas.openxmlformats.org/spreadsheetml/2006/main" count="156" uniqueCount="121">
  <si>
    <t>ELOKA EARNINGS CALCULATOR</t>
  </si>
  <si>
    <t>Type in the blue cells. Everything else calculates automatically.</t>
  </si>
  <si>
    <t>YOUR INPUTS  —  edit the blue cells</t>
  </si>
  <si>
    <t>Number of retailers in your network</t>
  </si>
  <si>
    <t>retailers</t>
  </si>
  <si>
    <t>Average monthly GMV per retailer (₹)</t>
  </si>
  <si>
    <t>₹ per retailer, per month</t>
  </si>
  <si>
    <t>Total monthly network GMV</t>
  </si>
  <si>
    <t>auto-calculated</t>
  </si>
  <si>
    <t>PRODUCT MIX  —  what each retailer does, and what you earn from it</t>
  </si>
  <si>
    <t>Product</t>
  </si>
  <si>
    <t>% of GMV</t>
  </si>
  <si>
    <t>Avg Txn Size</t>
  </si>
  <si>
    <t>Txn Count / retailer / mo</t>
  </si>
  <si>
    <t>Admin Earning / Txn</t>
  </si>
  <si>
    <t>Admin Earning / retailer / mo</t>
  </si>
  <si>
    <t>Admin Total / mo</t>
  </si>
  <si>
    <t>DMT / PPI DMT</t>
  </si>
  <si>
    <t>AePS</t>
  </si>
  <si>
    <t>Recharge</t>
  </si>
  <si>
    <t>Bill Payments (BBPS)</t>
  </si>
  <si>
    <t>Insurance</t>
  </si>
  <si>
    <t>Loan</t>
  </si>
  <si>
    <t>Travel</t>
  </si>
  <si>
    <t>Indo-Nepal</t>
  </si>
  <si>
    <t>Credit Card Bill Payment</t>
  </si>
  <si>
    <t>Payment Gateway</t>
  </si>
  <si>
    <t>TOTAL</t>
  </si>
  <si>
    <t>YOUR EARNING POTENTIAL  —  the numbers that close deals</t>
  </si>
  <si>
    <t>Admin earning — per month</t>
  </si>
  <si>
    <t>(grows with every retailer you add)</t>
  </si>
  <si>
    <t>Admin earning — per year</t>
  </si>
  <si>
    <t>(12 × monthly)</t>
  </si>
  <si>
    <t>Admin earning — per retailer / month</t>
  </si>
  <si>
    <t>(use this to recruit retailers)</t>
  </si>
  <si>
    <t>Subscription pays back in</t>
  </si>
  <si>
    <t>(Business plan ₹9,999; adjust if different plan)</t>
  </si>
  <si>
    <t>Year-1 net (annual − activation − 11× subscription)</t>
  </si>
  <si>
    <t>(₹50K activation + 11 months sub; Month 1 free)</t>
  </si>
  <si>
    <t>Note: figures are indicative. Loan earning uses ₹800/txn midpoint (range ₹600–₹1,000). Actual earnings depend on retailer performance and network pricing decisions.</t>
  </si>
  <si>
    <t>THREE EARNING SCENARIOS  —  50-retailer network</t>
  </si>
  <si>
    <t>Use in the proposal, the pricing page, and the pitch. Scenarios map to Starter / Business / Network plans.</t>
  </si>
  <si>
    <t>METRIC</t>
  </si>
  <si>
    <t>STARTER  (LOW)</t>
  </si>
  <si>
    <t>BUSINESS  (MEDIUM) ★</t>
  </si>
  <si>
    <t>NETWORK  (HIGH)</t>
  </si>
  <si>
    <t>1–10 retailers</t>
  </si>
  <si>
    <t>10–150 retailers ★</t>
  </si>
  <si>
    <t>150+ retailers</t>
  </si>
  <si>
    <t>Number of retailers</t>
  </si>
  <si>
    <t>GMV per retailer / month</t>
  </si>
  <si>
    <t>Plan</t>
  </si>
  <si>
    <t>Starter</t>
  </si>
  <si>
    <t>Business</t>
  </si>
  <si>
    <t>Network</t>
  </si>
  <si>
    <t>Monthly subscription</t>
  </si>
  <si>
    <t>One-time activation fee</t>
  </si>
  <si>
    <t>Admin earning — total per month</t>
  </si>
  <si>
    <t>Year-1 total cost (₹50K act. + 11× sub)</t>
  </si>
  <si>
    <t>Year-1 net earnings</t>
  </si>
  <si>
    <t>★ Business (Medium) = recommended scenario for most pitches. Loan earning uses ₹800/txn midpoint (range ₹600–₹1,000). Year-1 cost = ₹50,000 activation + 11 months subscription (Month 1 free).</t>
  </si>
  <si>
    <t>PRODUCT ECONOMICS  —  reference</t>
  </si>
  <si>
    <t>Per-product admin earnings. Drawn from Eko master commercials. Do not share publicly.</t>
  </si>
  <si>
    <t>Share of GMV</t>
  </si>
  <si>
    <t>Admin Earning @ ₹5L GMV / retailer</t>
  </si>
  <si>
    <t>DMT / PPI Wallet</t>
  </si>
  <si>
    <t>TOTAL per retailer / month @ ₹5L GMV</t>
  </si>
  <si>
    <t>Loan: ₹600–₹1,000 per loan (₹800 used as midpoint). Payment Gateway available on Business + Network plans only. All other products available on all plans.</t>
  </si>
  <si>
    <t>STARTER  vs  BUSINESS  vs  NETWORK  —  pack comparison</t>
  </si>
  <si>
    <t>Which plan to recommend, based on the prospect's business and network ambition.</t>
  </si>
  <si>
    <t>PARAMETER</t>
  </si>
  <si>
    <t>STARTER</t>
  </si>
  <si>
    <t>BUSINESS</t>
  </si>
  <si>
    <t>NETWORK</t>
  </si>
  <si>
    <t>Who it's for</t>
  </si>
  <si>
    <t>Emerging operators (Kirana, service shop)</t>
  </si>
  <si>
    <t>Growing distributors</t>
  </si>
  <si>
    <t>Large network operators</t>
  </si>
  <si>
    <t>Typical retailer count</t>
  </si>
  <si>
    <t>1–10</t>
  </si>
  <si>
    <t>10–150</t>
  </si>
  <si>
    <t>150+</t>
  </si>
  <si>
    <t>₹50,000</t>
  </si>
  <si>
    <t>₹3,499</t>
  </si>
  <si>
    <t>₹9,999</t>
  </si>
  <si>
    <t>₹24,999</t>
  </si>
  <si>
    <t>Annual (2 months free)</t>
  </si>
  <si>
    <t>₹34,999/yr</t>
  </si>
  <si>
    <t>₹99,999/yr</t>
  </si>
  <si>
    <t>₹2,49,999/yr</t>
  </si>
  <si>
    <t>First month</t>
  </si>
  <si>
    <t>Free</t>
  </si>
  <si>
    <t>Subscription begins</t>
  </si>
  <si>
    <t>Month 2 via eNACH</t>
  </si>
  <si>
    <t>Products</t>
  </si>
  <si>
    <t>8 core (excl. PG)</t>
  </si>
  <si>
    <t>All 10 incl. PG</t>
  </si>
  <si>
    <t>All 10 + Bulk payments</t>
  </si>
  <si>
    <t>Daily GTV cap</t>
  </si>
  <si>
    <t>₹10L/day</t>
  </si>
  <si>
    <t>₹50L/day</t>
  </si>
  <si>
    <t>None</t>
  </si>
  <si>
    <t>Connected Banking</t>
  </si>
  <si>
    <t>✓ Conditions apply</t>
  </si>
  <si>
    <t>Network tiers</t>
  </si>
  <si>
    <t>3-tier</t>
  </si>
  <si>
    <t>Custom commission</t>
  </si>
  <si>
    <t>✓</t>
  </si>
  <si>
    <t>Bulk payments</t>
  </si>
  <si>
    <t>—</t>
  </si>
  <si>
    <t>Mobile APK (white-label)</t>
  </si>
  <si>
    <t>Support</t>
  </si>
  <si>
    <t>AI-enabled 24×7</t>
  </si>
  <si>
    <t>AI + WhatsApp 24×7</t>
  </si>
  <si>
    <t>AI + WhatsApp + Priority</t>
  </si>
  <si>
    <t>Typical earning — @ ₹5L GMV/retailer</t>
  </si>
  <si>
    <t>Typical earning — @ ₹15L GMV/retailer</t>
  </si>
  <si>
    <t>Year-1 investment</t>
  </si>
  <si>
    <t>Year-1 net @ ₹15L scenario</t>
  </si>
  <si>
    <t>Subscription payback @ ₹15L</t>
  </si>
  <si>
    <t>Loan earning uses ₹800/txn midpoint (range: ₹600–₹1,000). Year-1 cost = ₹50,000 activation + 11 months subscription (Month 1 free). Typical retailer counts: Starter=5, Business=50, Network=200.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</si>
</sst>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\₹#,##0;[RED]&quot;(₹&quot;#,##0\);\-"/>
    <numFmt numFmtId="165" formatCode="0.0%;[RED]\(0.0%\);\-"/>
    <numFmt numFmtId="166" formatCode="#,##0.0"/>
    <numFmt numFmtId="167" formatCode="\₹#,##0.00;[RED]&quot;(₹&quot;#,##0.00\);\-"/>
    <numFmt numFmtId="168" formatCode="0.0&quot; months&quot;"/>
    <numFmt numFmtId="169" formatCode="#,##0;[RED]\(#,##0\);\-"/>
  </numFmts>
  <fonts count="18">
    <font>
      <sz val="11.0"/>
      <color theme="1"/>
      <name val="Calibri"/>
      <scheme val="minor"/>
    </font>
    <font>
      <b/>
      <sz val="16.0"/>
      <color rgb="FFFFFFFF"/>
      <name val="Calibri"/>
    </font>
    <font/>
    <font>
      <i/>
      <sz val="10.0"/>
      <color rgb="FF595959"/>
      <name val="Calibri"/>
    </font>
    <font>
      <b/>
      <sz val="10.0"/>
      <color rgb="FF000000"/>
      <name val="Calibri"/>
    </font>
    <font>
      <b/>
      <sz val="11.0"/>
      <color rgb="FF0000FF"/>
      <name val="Calibri"/>
    </font>
    <font>
      <sz val="10.0"/>
      <color rgb="FF000000"/>
      <name val="Calibri"/>
    </font>
    <font>
      <b/>
      <sz val="11.0"/>
      <color rgb="FF000000"/>
      <name val="Calibri"/>
    </font>
    <font>
      <b/>
      <sz val="10.0"/>
      <color rgb="FFFFFFFF"/>
      <name val="Calibri"/>
    </font>
    <font>
      <b/>
      <sz val="11.0"/>
      <color rgb="FFFFFFFF"/>
      <name val="Calibri"/>
    </font>
    <font>
      <sz val="11.0"/>
      <color theme="1"/>
      <name val="Calibri"/>
    </font>
    <font>
      <b/>
      <sz val="14.0"/>
      <color rgb="FF000000"/>
      <name val="Calibri"/>
    </font>
    <font>
      <sz val="9.0"/>
      <color rgb="FF000000"/>
      <name val="Calibri"/>
    </font>
    <font>
      <b/>
      <sz val="12.0"/>
      <color rgb="FF000000"/>
      <name val="Calibri"/>
    </font>
    <font>
      <i/>
      <sz val="9.0"/>
      <color rgb="FF595959"/>
      <name val="Calibri"/>
    </font>
    <font>
      <b/>
      <sz val="15.0"/>
      <color rgb="FFFFFFFF"/>
      <name val="Calibri"/>
    </font>
    <font>
      <b/>
      <i/>
      <sz val="9.0"/>
      <color rgb="FF595959"/>
      <name val="Calibri"/>
    </font>
    <font>
      <b/>
      <sz val="14.0"/>
      <color rgb="FFFFFFFF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1A4545"/>
        <bgColor rgb="FF1A4545"/>
      </patternFill>
    </fill>
    <fill>
      <patternFill patternType="solid">
        <fgColor rgb="FFF5A623"/>
        <bgColor rgb="FFF5A623"/>
      </patternFill>
    </fill>
    <fill>
      <patternFill patternType="solid">
        <fgColor rgb="FFFFF4D6"/>
        <bgColor rgb="FFFFF4D6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BFBFBF"/>
      </left>
      <top style="thin">
        <color rgb="FFBFBFBF"/>
      </top>
      <bottom style="thin">
        <color rgb="FFBFBFBF"/>
      </bottom>
    </border>
    <border>
      <top style="thin">
        <color rgb="FFBFBFBF"/>
      </top>
      <bottom style="thin">
        <color rgb="FFBFBFBF"/>
      </bottom>
    </border>
    <border>
      <right/>
      <top style="thin">
        <color rgb="FFBFBFBF"/>
      </top>
      <bottom style="thin">
        <color rgb="FFBFBFBF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left style="medium">
        <color rgb="FF1A4545"/>
      </left>
      <top style="medium">
        <color rgb="FF1A4545"/>
      </top>
      <bottom style="medium">
        <color rgb="FF1A4545"/>
      </bottom>
    </border>
    <border>
      <right/>
      <top style="medium">
        <color rgb="FF1A4545"/>
      </top>
      <bottom style="medium">
        <color rgb="FF1A4545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bottom" wrapText="0"/>
    </xf>
    <xf borderId="1" fillId="3" fontId="4" numFmtId="0" xfId="0" applyAlignment="1" applyBorder="1" applyFill="1" applyFont="1">
      <alignment horizontal="center"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4" fontId="5" numFmtId="0" xfId="0" applyAlignment="1" applyBorder="1" applyFill="1" applyFont="1">
      <alignment horizontal="center" shrinkToFit="0" vertical="center" wrapText="0"/>
    </xf>
    <xf borderId="6" fillId="0" fontId="2" numFmtId="0" xfId="0" applyBorder="1" applyFont="1"/>
    <xf borderId="4" fillId="0" fontId="6" numFmtId="0" xfId="0" applyAlignment="1" applyBorder="1" applyFont="1">
      <alignment horizontal="left" shrinkToFit="0" vertical="center" wrapText="1"/>
    </xf>
    <xf borderId="5" fillId="4" fontId="5" numFmtId="164" xfId="0" applyAlignment="1" applyBorder="1" applyFont="1" applyNumberFormat="1">
      <alignment horizontal="center" shrinkToFit="0" vertical="center" wrapText="0"/>
    </xf>
    <xf borderId="1" fillId="5" fontId="7" numFmtId="164" xfId="0" applyAlignment="1" applyBorder="1" applyFill="1" applyFont="1" applyNumberFormat="1">
      <alignment horizontal="right" shrinkToFit="0" vertical="center" wrapText="0"/>
    </xf>
    <xf borderId="4" fillId="2" fontId="8" numFmtId="0" xfId="0" applyAlignment="1" applyBorder="1" applyFont="1">
      <alignment horizontal="center" shrinkToFit="0" vertical="center" wrapText="1"/>
    </xf>
    <xf borderId="4" fillId="0" fontId="6" numFmtId="165" xfId="0" applyAlignment="1" applyBorder="1" applyFont="1" applyNumberFormat="1">
      <alignment horizontal="right" shrinkToFit="0" vertical="center" wrapText="0"/>
    </xf>
    <xf borderId="4" fillId="0" fontId="6" numFmtId="164" xfId="0" applyAlignment="1" applyBorder="1" applyFont="1" applyNumberFormat="1">
      <alignment horizontal="right" shrinkToFit="0" vertical="center" wrapText="0"/>
    </xf>
    <xf borderId="4" fillId="0" fontId="6" numFmtId="166" xfId="0" applyAlignment="1" applyBorder="1" applyFont="1" applyNumberFormat="1">
      <alignment horizontal="right" shrinkToFit="0" vertical="center" wrapText="0"/>
    </xf>
    <xf borderId="4" fillId="0" fontId="6" numFmtId="167" xfId="0" applyAlignment="1" applyBorder="1" applyFont="1" applyNumberFormat="1">
      <alignment horizontal="right" shrinkToFit="0" vertical="center" wrapText="0"/>
    </xf>
    <xf borderId="4" fillId="2" fontId="9" numFmtId="0" xfId="0" applyAlignment="1" applyBorder="1" applyFont="1">
      <alignment horizontal="center" shrinkToFit="0" vertical="center" wrapText="1"/>
    </xf>
    <xf borderId="4" fillId="2" fontId="8" numFmtId="165" xfId="0" applyAlignment="1" applyBorder="1" applyFont="1" applyNumberFormat="1">
      <alignment horizontal="right" shrinkToFit="0" vertical="center" wrapText="0"/>
    </xf>
    <xf borderId="4" fillId="2" fontId="10" numFmtId="0" xfId="0" applyAlignment="1" applyBorder="1" applyFont="1">
      <alignment shrinkToFit="0" vertical="bottom" wrapText="0"/>
    </xf>
    <xf borderId="4" fillId="2" fontId="9" numFmtId="164" xfId="0" applyAlignment="1" applyBorder="1" applyFont="1" applyNumberFormat="1">
      <alignment horizontal="right" shrinkToFit="0" vertical="center" wrapText="0"/>
    </xf>
    <xf borderId="4" fillId="3" fontId="7" numFmtId="164" xfId="0" applyAlignment="1" applyBorder="1" applyFont="1" applyNumberFormat="1">
      <alignment horizontal="right" shrinkToFit="0" vertical="center" wrapText="0"/>
    </xf>
    <xf borderId="4" fillId="0" fontId="7" numFmtId="0" xfId="0" applyAlignment="1" applyBorder="1" applyFont="1">
      <alignment horizontal="left" shrinkToFit="0" vertical="center" wrapText="1"/>
    </xf>
    <xf borderId="1" fillId="3" fontId="11" numFmtId="164" xfId="0" applyAlignment="1" applyBorder="1" applyFont="1" applyNumberFormat="1">
      <alignment horizontal="right" shrinkToFit="0" vertical="center" wrapText="0"/>
    </xf>
    <xf borderId="4" fillId="0" fontId="12" numFmtId="0" xfId="0" applyAlignment="1" applyBorder="1" applyFont="1">
      <alignment horizontal="left" shrinkToFit="0" vertical="center" wrapText="1"/>
    </xf>
    <xf borderId="1" fillId="5" fontId="13" numFmtId="164" xfId="0" applyAlignment="1" applyBorder="1" applyFont="1" applyNumberFormat="1">
      <alignment horizontal="right" shrinkToFit="0" vertical="center" wrapText="0"/>
    </xf>
    <xf borderId="1" fillId="3" fontId="11" numFmtId="168" xfId="0" applyAlignment="1" applyBorder="1" applyFont="1" applyNumberFormat="1">
      <alignment horizontal="right" shrinkToFit="0" vertical="center" wrapText="0"/>
    </xf>
    <xf borderId="0" fillId="0" fontId="14" numFmtId="0" xfId="0" applyAlignment="1" applyFont="1">
      <alignment horizontal="left" shrinkToFit="0" vertical="center" wrapText="1"/>
    </xf>
    <xf borderId="1" fillId="2" fontId="15" numFmtId="0" xfId="0" applyAlignment="1" applyBorder="1" applyFont="1">
      <alignment horizontal="center" shrinkToFit="0" vertical="center" wrapText="1"/>
    </xf>
    <xf borderId="4" fillId="3" fontId="7" numFmtId="0" xfId="0" applyAlignment="1" applyBorder="1" applyFont="1">
      <alignment horizontal="center" shrinkToFit="0" vertical="center" wrapText="1"/>
    </xf>
    <xf borderId="4" fillId="0" fontId="16" numFmtId="0" xfId="0" applyAlignment="1" applyBorder="1" applyFont="1">
      <alignment horizontal="center" shrinkToFit="0" vertical="center" wrapText="0"/>
    </xf>
    <xf borderId="4" fillId="4" fontId="16" numFmtId="0" xfId="0" applyAlignment="1" applyBorder="1" applyFont="1">
      <alignment horizontal="center" shrinkToFit="0" vertical="center" wrapText="0"/>
    </xf>
    <xf borderId="4" fillId="0" fontId="6" numFmtId="169" xfId="0" applyAlignment="1" applyBorder="1" applyFont="1" applyNumberFormat="1">
      <alignment horizontal="right" readingOrder="0" shrinkToFit="0" vertical="center" wrapText="0"/>
    </xf>
    <xf borderId="4" fillId="4" fontId="4" numFmtId="169" xfId="0" applyAlignment="1" applyBorder="1" applyFont="1" applyNumberFormat="1">
      <alignment horizontal="right" shrinkToFit="0" vertical="center" wrapText="0"/>
    </xf>
    <xf borderId="4" fillId="0" fontId="6" numFmtId="169" xfId="0" applyAlignment="1" applyBorder="1" applyFont="1" applyNumberFormat="1">
      <alignment horizontal="right" shrinkToFit="0" vertical="center" wrapText="0"/>
    </xf>
    <xf borderId="4" fillId="4" fontId="4" numFmtId="164" xfId="0" applyAlignment="1" applyBorder="1" applyFont="1" applyNumberFormat="1">
      <alignment horizontal="right" shrinkToFit="0" vertical="center" wrapText="0"/>
    </xf>
    <xf borderId="4" fillId="0" fontId="6" numFmtId="0" xfId="0" applyAlignment="1" applyBorder="1" applyFont="1">
      <alignment horizontal="right" shrinkToFit="0" vertical="center" wrapText="0"/>
    </xf>
    <xf borderId="4" fillId="4" fontId="4" numFmtId="0" xfId="0" applyAlignment="1" applyBorder="1" applyFont="1">
      <alignment horizontal="right" shrinkToFit="0" vertical="center" wrapText="0"/>
    </xf>
    <xf borderId="4" fillId="5" fontId="7" numFmtId="164" xfId="0" applyAlignment="1" applyBorder="1" applyFont="1" applyNumberFormat="1">
      <alignment horizontal="right" shrinkToFit="0" vertical="center" wrapText="0"/>
    </xf>
    <xf borderId="4" fillId="5" fontId="7" numFmtId="168" xfId="0" applyAlignment="1" applyBorder="1" applyFont="1" applyNumberFormat="1">
      <alignment horizontal="right" shrinkToFit="0" vertical="center" wrapText="0"/>
    </xf>
    <xf borderId="4" fillId="3" fontId="7" numFmtId="168" xfId="0" applyAlignment="1" applyBorder="1" applyFont="1" applyNumberFormat="1">
      <alignment horizontal="right" shrinkToFit="0" vertical="center" wrapText="0"/>
    </xf>
    <xf borderId="4" fillId="0" fontId="6" numFmtId="0" xfId="0" applyAlignment="1" applyBorder="1" applyFont="1">
      <alignment horizontal="left" readingOrder="0" shrinkToFit="0" vertical="center" wrapText="1"/>
    </xf>
    <xf borderId="4" fillId="0" fontId="4" numFmtId="164" xfId="0" applyAlignment="1" applyBorder="1" applyFont="1" applyNumberFormat="1">
      <alignment horizontal="right" shrinkToFit="0" vertical="center" wrapText="0"/>
    </xf>
    <xf borderId="4" fillId="3" fontId="13" numFmtId="164" xfId="0" applyAlignment="1" applyBorder="1" applyFont="1" applyNumberFormat="1">
      <alignment horizontal="right" shrinkToFit="0" vertical="center" wrapText="0"/>
    </xf>
    <xf borderId="1" fillId="2" fontId="17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2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9.0" topLeftCell="A10" activePane="bottomLeft" state="frozen"/>
      <selection activeCell="B11" sqref="B11" pane="bottomLeft"/>
    </sheetView>
  </sheetViews>
  <sheetFormatPr customHeight="1" defaultColWidth="14.43" defaultRowHeight="15.0"/>
  <cols>
    <col customWidth="1" min="1" max="1" width="3.0"/>
    <col customWidth="1" min="2" max="2" width="30.0"/>
    <col customWidth="1" min="3" max="4" width="14.0"/>
    <col customWidth="1" min="5" max="6" width="16.0"/>
    <col customWidth="1" min="7" max="8" width="18.0"/>
    <col customWidth="1" min="9" max="26" width="8.71"/>
  </cols>
  <sheetData>
    <row r="2" ht="30.0" customHeight="1">
      <c r="B2" s="1" t="s">
        <v>0</v>
      </c>
      <c r="C2" s="2"/>
      <c r="D2" s="2"/>
      <c r="E2" s="2"/>
      <c r="F2" s="2"/>
      <c r="G2" s="2"/>
      <c r="H2" s="3"/>
    </row>
    <row r="3">
      <c r="B3" s="4" t="s">
        <v>1</v>
      </c>
    </row>
    <row r="5" ht="21.75" customHeight="1">
      <c r="B5" s="5" t="s">
        <v>2</v>
      </c>
      <c r="C5" s="2"/>
      <c r="D5" s="2"/>
      <c r="E5" s="2"/>
      <c r="F5" s="2"/>
      <c r="G5" s="2"/>
      <c r="H5" s="3"/>
    </row>
    <row r="6" ht="24.0" customHeight="1">
      <c r="B6" s="6" t="s">
        <v>3</v>
      </c>
      <c r="C6" s="7">
        <v>50.0</v>
      </c>
      <c r="D6" s="8"/>
      <c r="E6" s="9" t="s">
        <v>4</v>
      </c>
    </row>
    <row r="7" ht="24.0" customHeight="1">
      <c r="B7" s="6" t="s">
        <v>5</v>
      </c>
      <c r="C7" s="10">
        <v>1500000.0</v>
      </c>
      <c r="D7" s="8"/>
      <c r="E7" s="9" t="s">
        <v>6</v>
      </c>
    </row>
    <row r="8" ht="24.0" customHeight="1">
      <c r="B8" s="6" t="s">
        <v>7</v>
      </c>
      <c r="C8" s="11">
        <f>C6*C7</f>
        <v>75000000</v>
      </c>
      <c r="D8" s="3"/>
      <c r="E8" s="9" t="s">
        <v>8</v>
      </c>
    </row>
    <row r="10" ht="21.75" customHeight="1">
      <c r="B10" s="5" t="s">
        <v>9</v>
      </c>
      <c r="C10" s="2"/>
      <c r="D10" s="2"/>
      <c r="E10" s="2"/>
      <c r="F10" s="2"/>
      <c r="G10" s="2"/>
      <c r="H10" s="3"/>
    </row>
    <row r="11" ht="37.5" customHeight="1">
      <c r="B11" s="12" t="s">
        <v>10</v>
      </c>
      <c r="C11" s="12" t="s">
        <v>11</v>
      </c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</row>
    <row r="12" ht="21.75" customHeight="1">
      <c r="B12" s="9" t="s">
        <v>17</v>
      </c>
      <c r="C12" s="13">
        <v>0.15</v>
      </c>
      <c r="D12" s="14">
        <v>3200.0</v>
      </c>
      <c r="E12" s="15">
        <f t="shared" ref="E12:E21" si="1">IFERROR(($C$7*C12)/D12,0)</f>
        <v>70.3125</v>
      </c>
      <c r="F12" s="16">
        <v>1.37</v>
      </c>
      <c r="G12" s="14">
        <f t="shared" ref="G12:G21" si="2">E12*F12</f>
        <v>96.328125</v>
      </c>
      <c r="H12" s="14">
        <f t="shared" ref="H12:H21" si="3">G12*$C$6</f>
        <v>4816.40625</v>
      </c>
    </row>
    <row r="13" ht="21.75" customHeight="1">
      <c r="B13" s="9" t="s">
        <v>18</v>
      </c>
      <c r="C13" s="13">
        <v>0.18</v>
      </c>
      <c r="D13" s="14">
        <v>2700.0</v>
      </c>
      <c r="E13" s="15">
        <f t="shared" si="1"/>
        <v>100</v>
      </c>
      <c r="F13" s="16">
        <v>4.0</v>
      </c>
      <c r="G13" s="14">
        <f t="shared" si="2"/>
        <v>400</v>
      </c>
      <c r="H13" s="14">
        <f t="shared" si="3"/>
        <v>20000</v>
      </c>
    </row>
    <row r="14" ht="21.75" customHeight="1">
      <c r="B14" s="9" t="s">
        <v>19</v>
      </c>
      <c r="C14" s="13">
        <v>0.06</v>
      </c>
      <c r="D14" s="14">
        <v>300.0</v>
      </c>
      <c r="E14" s="15">
        <f t="shared" si="1"/>
        <v>300</v>
      </c>
      <c r="F14" s="16">
        <v>1.0</v>
      </c>
      <c r="G14" s="14">
        <f t="shared" si="2"/>
        <v>300</v>
      </c>
      <c r="H14" s="14">
        <f t="shared" si="3"/>
        <v>15000</v>
      </c>
    </row>
    <row r="15" ht="21.75" customHeight="1">
      <c r="B15" s="9" t="s">
        <v>20</v>
      </c>
      <c r="C15" s="13">
        <v>0.1</v>
      </c>
      <c r="D15" s="14">
        <v>2000.0</v>
      </c>
      <c r="E15" s="15">
        <f t="shared" si="1"/>
        <v>75</v>
      </c>
      <c r="F15" s="16">
        <v>2.0</v>
      </c>
      <c r="G15" s="14">
        <f t="shared" si="2"/>
        <v>150</v>
      </c>
      <c r="H15" s="14">
        <f t="shared" si="3"/>
        <v>7500</v>
      </c>
    </row>
    <row r="16" ht="21.75" customHeight="1">
      <c r="B16" s="9" t="s">
        <v>21</v>
      </c>
      <c r="C16" s="13">
        <v>0.003</v>
      </c>
      <c r="D16" s="14">
        <v>1000.0</v>
      </c>
      <c r="E16" s="15">
        <f t="shared" si="1"/>
        <v>4.5</v>
      </c>
      <c r="F16" s="16">
        <v>180.0</v>
      </c>
      <c r="G16" s="14">
        <f t="shared" si="2"/>
        <v>810</v>
      </c>
      <c r="H16" s="14">
        <f t="shared" si="3"/>
        <v>40500</v>
      </c>
    </row>
    <row r="17" ht="21.75" customHeight="1">
      <c r="B17" s="9" t="s">
        <v>22</v>
      </c>
      <c r="C17" s="13">
        <v>0.1</v>
      </c>
      <c r="D17" s="14">
        <v>50000.0</v>
      </c>
      <c r="E17" s="15">
        <f t="shared" si="1"/>
        <v>3</v>
      </c>
      <c r="F17" s="16">
        <v>800.0</v>
      </c>
      <c r="G17" s="14">
        <f t="shared" si="2"/>
        <v>2400</v>
      </c>
      <c r="H17" s="14">
        <f t="shared" si="3"/>
        <v>120000</v>
      </c>
    </row>
    <row r="18" ht="21.75" customHeight="1">
      <c r="B18" s="9" t="s">
        <v>23</v>
      </c>
      <c r="C18" s="13">
        <v>0.06</v>
      </c>
      <c r="D18" s="14">
        <v>2000.0</v>
      </c>
      <c r="E18" s="15">
        <f t="shared" si="1"/>
        <v>45</v>
      </c>
      <c r="F18" s="16">
        <v>2.0</v>
      </c>
      <c r="G18" s="14">
        <f t="shared" si="2"/>
        <v>90</v>
      </c>
      <c r="H18" s="14">
        <f t="shared" si="3"/>
        <v>4500</v>
      </c>
    </row>
    <row r="19" ht="21.75" customHeight="1">
      <c r="B19" s="9" t="s">
        <v>24</v>
      </c>
      <c r="C19" s="13">
        <v>0.06</v>
      </c>
      <c r="D19" s="14">
        <v>28000.0</v>
      </c>
      <c r="E19" s="15">
        <f t="shared" si="1"/>
        <v>3.214285714</v>
      </c>
      <c r="F19" s="16">
        <v>6.0</v>
      </c>
      <c r="G19" s="14">
        <f t="shared" si="2"/>
        <v>19.28571429</v>
      </c>
      <c r="H19" s="14">
        <f t="shared" si="3"/>
        <v>964.2857143</v>
      </c>
    </row>
    <row r="20" ht="21.75" customHeight="1">
      <c r="B20" s="9" t="s">
        <v>25</v>
      </c>
      <c r="C20" s="13">
        <v>0.04</v>
      </c>
      <c r="D20" s="14">
        <v>5000.0</v>
      </c>
      <c r="E20" s="15">
        <f t="shared" si="1"/>
        <v>12</v>
      </c>
      <c r="F20" s="16">
        <v>10.0</v>
      </c>
      <c r="G20" s="14">
        <f t="shared" si="2"/>
        <v>120</v>
      </c>
      <c r="H20" s="14">
        <f t="shared" si="3"/>
        <v>6000</v>
      </c>
    </row>
    <row r="21" ht="21.75" customHeight="1">
      <c r="B21" s="9" t="s">
        <v>26</v>
      </c>
      <c r="C21" s="13">
        <v>0.247</v>
      </c>
      <c r="D21" s="14">
        <v>30000.0</v>
      </c>
      <c r="E21" s="15">
        <f t="shared" si="1"/>
        <v>12.35</v>
      </c>
      <c r="F21" s="16">
        <v>90.0</v>
      </c>
      <c r="G21" s="14">
        <f t="shared" si="2"/>
        <v>1111.5</v>
      </c>
      <c r="H21" s="14">
        <f t="shared" si="3"/>
        <v>55575</v>
      </c>
    </row>
    <row r="22" ht="27.75" customHeight="1">
      <c r="B22" s="17" t="s">
        <v>27</v>
      </c>
      <c r="C22" s="18">
        <f>SUM(C12:C21)</f>
        <v>1</v>
      </c>
      <c r="D22" s="19"/>
      <c r="E22" s="19"/>
      <c r="F22" s="19"/>
      <c r="G22" s="20">
        <f t="shared" ref="G22:H22" si="4">SUM(G12:G21)</f>
        <v>5497.113839</v>
      </c>
      <c r="H22" s="21">
        <f t="shared" si="4"/>
        <v>274855.692</v>
      </c>
    </row>
    <row r="23" ht="15.75" customHeight="1"/>
    <row r="24" ht="21.75" customHeight="1">
      <c r="B24" s="5" t="s">
        <v>28</v>
      </c>
      <c r="C24" s="2"/>
      <c r="D24" s="2"/>
      <c r="E24" s="2"/>
      <c r="F24" s="2"/>
      <c r="G24" s="2"/>
      <c r="H24" s="3"/>
    </row>
    <row r="25" ht="25.5" customHeight="1">
      <c r="B25" s="22" t="s">
        <v>29</v>
      </c>
      <c r="C25" s="23">
        <f>H22</f>
        <v>274855.692</v>
      </c>
      <c r="D25" s="2"/>
      <c r="E25" s="3"/>
      <c r="F25" s="24" t="s">
        <v>30</v>
      </c>
    </row>
    <row r="26" ht="25.5" customHeight="1">
      <c r="B26" s="22" t="s">
        <v>31</v>
      </c>
      <c r="C26" s="23">
        <f>C25*12</f>
        <v>3298268.304</v>
      </c>
      <c r="D26" s="2"/>
      <c r="E26" s="3"/>
      <c r="F26" s="24" t="s">
        <v>32</v>
      </c>
    </row>
    <row r="27" ht="25.5" customHeight="1">
      <c r="B27" s="22" t="s">
        <v>33</v>
      </c>
      <c r="C27" s="25">
        <f>G22</f>
        <v>5497.113839</v>
      </c>
      <c r="D27" s="2"/>
      <c r="E27" s="3"/>
      <c r="F27" s="24" t="s">
        <v>34</v>
      </c>
    </row>
    <row r="28" ht="25.5" customHeight="1">
      <c r="B28" s="22" t="s">
        <v>35</v>
      </c>
      <c r="C28" s="26">
        <f>IFERROR(9999/C25,"—")</f>
        <v>0.03637909016</v>
      </c>
      <c r="D28" s="2"/>
      <c r="E28" s="3"/>
      <c r="F28" s="24" t="s">
        <v>36</v>
      </c>
    </row>
    <row r="29" ht="25.5" customHeight="1">
      <c r="B29" s="22" t="s">
        <v>37</v>
      </c>
      <c r="C29" s="23">
        <f>C26-50000-11*9999</f>
        <v>3138279.304</v>
      </c>
      <c r="D29" s="2"/>
      <c r="E29" s="3"/>
      <c r="F29" s="24" t="s">
        <v>38</v>
      </c>
    </row>
    <row r="30" ht="15.75" customHeight="1"/>
    <row r="31" ht="30.0" customHeight="1">
      <c r="B31" s="27" t="s">
        <v>39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B24:H24"/>
    <mergeCell ref="C25:E25"/>
    <mergeCell ref="C26:E26"/>
    <mergeCell ref="C27:E27"/>
    <mergeCell ref="C28:E28"/>
    <mergeCell ref="C29:E29"/>
    <mergeCell ref="B31:H31"/>
    <mergeCell ref="B2:H2"/>
    <mergeCell ref="B3:H3"/>
    <mergeCell ref="B5:H5"/>
    <mergeCell ref="C6:D6"/>
    <mergeCell ref="C7:D7"/>
    <mergeCell ref="C8:D8"/>
    <mergeCell ref="B10:H10"/>
  </mergeCells>
  <printOptions/>
  <pageMargins bottom="1.0" footer="0.0" header="0.0" left="0.75" right="0.75" top="1.0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4.0"/>
    <col customWidth="1" min="3" max="5" width="20.0"/>
    <col customWidth="1" min="6" max="6" width="3.0"/>
    <col customWidth="1" min="7" max="26" width="8.71"/>
  </cols>
  <sheetData>
    <row r="2" ht="27.75" customHeight="1">
      <c r="B2" s="28" t="s">
        <v>40</v>
      </c>
      <c r="C2" s="2"/>
      <c r="D2" s="2"/>
      <c r="E2" s="3"/>
    </row>
    <row r="3">
      <c r="B3" s="4" t="s">
        <v>41</v>
      </c>
    </row>
    <row r="5" ht="25.5" customHeight="1">
      <c r="B5" s="17" t="s">
        <v>42</v>
      </c>
      <c r="C5" s="17" t="s">
        <v>43</v>
      </c>
      <c r="D5" s="29" t="s">
        <v>44</v>
      </c>
      <c r="E5" s="17" t="s">
        <v>45</v>
      </c>
    </row>
    <row r="6">
      <c r="C6" s="30" t="s">
        <v>46</v>
      </c>
      <c r="D6" s="31" t="s">
        <v>47</v>
      </c>
      <c r="E6" s="30" t="s">
        <v>48</v>
      </c>
    </row>
    <row r="7" ht="21.75" customHeight="1">
      <c r="B7" s="9" t="s">
        <v>49</v>
      </c>
      <c r="C7" s="32">
        <v>10.0</v>
      </c>
      <c r="D7" s="33">
        <v>50.0</v>
      </c>
      <c r="E7" s="34">
        <v>50.0</v>
      </c>
    </row>
    <row r="8" ht="21.75" customHeight="1">
      <c r="B8" s="9" t="s">
        <v>50</v>
      </c>
      <c r="C8" s="14">
        <v>500000.0</v>
      </c>
      <c r="D8" s="35">
        <v>1500000.0</v>
      </c>
      <c r="E8" s="14">
        <v>5000000.0</v>
      </c>
    </row>
    <row r="9" ht="21.75" customHeight="1">
      <c r="B9" s="9" t="s">
        <v>7</v>
      </c>
      <c r="C9" s="14">
        <f t="shared" ref="C9:E9" si="1">C7*C8</f>
        <v>5000000</v>
      </c>
      <c r="D9" s="35">
        <f t="shared" si="1"/>
        <v>75000000</v>
      </c>
      <c r="E9" s="14">
        <f t="shared" si="1"/>
        <v>250000000</v>
      </c>
    </row>
    <row r="11" ht="21.75" customHeight="1">
      <c r="B11" s="9" t="s">
        <v>51</v>
      </c>
      <c r="C11" s="36" t="s">
        <v>52</v>
      </c>
      <c r="D11" s="37" t="s">
        <v>53</v>
      </c>
      <c r="E11" s="36" t="s">
        <v>54</v>
      </c>
    </row>
    <row r="12" ht="21.75" customHeight="1">
      <c r="B12" s="9" t="s">
        <v>55</v>
      </c>
      <c r="C12" s="14">
        <v>3499.0</v>
      </c>
      <c r="D12" s="35">
        <v>9999.0</v>
      </c>
      <c r="E12" s="14">
        <v>24999.0</v>
      </c>
    </row>
    <row r="13" ht="21.75" customHeight="1">
      <c r="B13" s="9" t="s">
        <v>56</v>
      </c>
      <c r="C13" s="14">
        <v>50000.0</v>
      </c>
      <c r="D13" s="35">
        <v>50000.0</v>
      </c>
      <c r="E13" s="14">
        <v>50000.0</v>
      </c>
    </row>
    <row r="15" ht="21.75" customHeight="1">
      <c r="B15" s="9" t="s">
        <v>33</v>
      </c>
      <c r="C15" s="14">
        <f t="shared" ref="C15:E15" si="2">C8*0.00366474255952381</f>
        <v>1832.37128</v>
      </c>
      <c r="D15" s="35">
        <f t="shared" si="2"/>
        <v>5497.113839</v>
      </c>
      <c r="E15" s="14">
        <f t="shared" si="2"/>
        <v>18323.7128</v>
      </c>
    </row>
    <row r="16" ht="21.75" customHeight="1">
      <c r="B16" s="6" t="s">
        <v>57</v>
      </c>
      <c r="C16" s="38">
        <f t="shared" ref="C16:E16" si="3">C15*C7</f>
        <v>18323.7128</v>
      </c>
      <c r="D16" s="21">
        <f t="shared" si="3"/>
        <v>274855.692</v>
      </c>
      <c r="E16" s="38">
        <f t="shared" si="3"/>
        <v>916185.6399</v>
      </c>
    </row>
    <row r="17" ht="21.75" customHeight="1">
      <c r="B17" s="6" t="s">
        <v>31</v>
      </c>
      <c r="C17" s="38">
        <f t="shared" ref="C17:E17" si="4">C16*12</f>
        <v>219884.5536</v>
      </c>
      <c r="D17" s="21">
        <f t="shared" si="4"/>
        <v>3298268.304</v>
      </c>
      <c r="E17" s="38">
        <f t="shared" si="4"/>
        <v>10994227.68</v>
      </c>
    </row>
    <row r="19" ht="21.75" customHeight="1">
      <c r="B19" s="9" t="s">
        <v>58</v>
      </c>
      <c r="C19" s="14">
        <f t="shared" ref="C19:E19" si="5">C13+11*C12</f>
        <v>88489</v>
      </c>
      <c r="D19" s="35">
        <f t="shared" si="5"/>
        <v>159989</v>
      </c>
      <c r="E19" s="14">
        <f t="shared" si="5"/>
        <v>324989</v>
      </c>
    </row>
    <row r="20" ht="21.75" customHeight="1">
      <c r="B20" s="6" t="s">
        <v>59</v>
      </c>
      <c r="C20" s="38">
        <f t="shared" ref="C20:E20" si="6">C17-C19</f>
        <v>131395.5536</v>
      </c>
      <c r="D20" s="21">
        <f t="shared" si="6"/>
        <v>3138279.304</v>
      </c>
      <c r="E20" s="38">
        <f t="shared" si="6"/>
        <v>10669238.68</v>
      </c>
    </row>
    <row r="21" ht="21.75" customHeight="1">
      <c r="B21" s="6" t="s">
        <v>35</v>
      </c>
      <c r="C21" s="39">
        <f t="shared" ref="C21:E21" si="7">IFERROR(C12/C16,"—")</f>
        <v>0.1909547502</v>
      </c>
      <c r="D21" s="40">
        <f t="shared" si="7"/>
        <v>0.03637909016</v>
      </c>
      <c r="E21" s="39">
        <f t="shared" si="7"/>
        <v>0.02728595485</v>
      </c>
    </row>
    <row r="22" ht="15.75" customHeight="1"/>
    <row r="23" ht="31.5" customHeight="1">
      <c r="B23" s="27" t="s">
        <v>60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E2"/>
    <mergeCell ref="B3:E3"/>
    <mergeCell ref="B23:E23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2.0"/>
    <col customWidth="1" min="3" max="3" width="16.0"/>
    <col customWidth="1" min="4" max="4" width="20.0"/>
    <col customWidth="1" min="5" max="5" width="24.0"/>
    <col customWidth="1" min="6" max="6" width="30.0"/>
    <col customWidth="1" min="7" max="26" width="8.71"/>
  </cols>
  <sheetData>
    <row r="2" ht="27.75" customHeight="1">
      <c r="B2" s="1" t="s">
        <v>61</v>
      </c>
      <c r="C2" s="2"/>
      <c r="D2" s="2"/>
      <c r="E2" s="2"/>
      <c r="F2" s="3"/>
    </row>
    <row r="3">
      <c r="B3" s="4" t="s">
        <v>62</v>
      </c>
    </row>
    <row r="5" ht="37.5" customHeight="1">
      <c r="B5" s="12" t="s">
        <v>10</v>
      </c>
      <c r="C5" s="12" t="s">
        <v>63</v>
      </c>
      <c r="D5" s="12" t="s">
        <v>12</v>
      </c>
      <c r="E5" s="12" t="s">
        <v>14</v>
      </c>
      <c r="F5" s="12" t="s">
        <v>64</v>
      </c>
    </row>
    <row r="6">
      <c r="B6" s="41" t="s">
        <v>65</v>
      </c>
      <c r="C6" s="13">
        <v>0.15</v>
      </c>
      <c r="D6" s="14">
        <v>3200.0</v>
      </c>
      <c r="E6" s="16">
        <v>1.37</v>
      </c>
      <c r="F6" s="42">
        <f t="shared" ref="F6:F15" si="1">(500000*C6/D6)*E6</f>
        <v>32.109375</v>
      </c>
    </row>
    <row r="7">
      <c r="B7" s="9" t="s">
        <v>18</v>
      </c>
      <c r="C7" s="13">
        <v>0.18</v>
      </c>
      <c r="D7" s="14">
        <v>2700.0</v>
      </c>
      <c r="E7" s="16">
        <v>4.0</v>
      </c>
      <c r="F7" s="42">
        <f t="shared" si="1"/>
        <v>133.3333333</v>
      </c>
    </row>
    <row r="8">
      <c r="B8" s="9" t="s">
        <v>19</v>
      </c>
      <c r="C8" s="13">
        <v>0.06</v>
      </c>
      <c r="D8" s="14">
        <v>300.0</v>
      </c>
      <c r="E8" s="16">
        <v>1.0</v>
      </c>
      <c r="F8" s="42">
        <f t="shared" si="1"/>
        <v>100</v>
      </c>
    </row>
    <row r="9">
      <c r="B9" s="9" t="s">
        <v>20</v>
      </c>
      <c r="C9" s="13">
        <v>0.1</v>
      </c>
      <c r="D9" s="14">
        <v>2000.0</v>
      </c>
      <c r="E9" s="16">
        <v>2.0</v>
      </c>
      <c r="F9" s="42">
        <f t="shared" si="1"/>
        <v>50</v>
      </c>
    </row>
    <row r="10">
      <c r="B10" s="9" t="s">
        <v>21</v>
      </c>
      <c r="C10" s="13">
        <v>0.003</v>
      </c>
      <c r="D10" s="14">
        <v>1000.0</v>
      </c>
      <c r="E10" s="16">
        <v>180.0</v>
      </c>
      <c r="F10" s="42">
        <f t="shared" si="1"/>
        <v>270</v>
      </c>
    </row>
    <row r="11">
      <c r="B11" s="9" t="s">
        <v>22</v>
      </c>
      <c r="C11" s="13">
        <v>0.1</v>
      </c>
      <c r="D11" s="14">
        <v>50000.0</v>
      </c>
      <c r="E11" s="16">
        <v>800.0</v>
      </c>
      <c r="F11" s="42">
        <f t="shared" si="1"/>
        <v>800</v>
      </c>
    </row>
    <row r="12">
      <c r="B12" s="9" t="s">
        <v>23</v>
      </c>
      <c r="C12" s="13">
        <v>0.06</v>
      </c>
      <c r="D12" s="14">
        <v>2000.0</v>
      </c>
      <c r="E12" s="16">
        <v>2.0</v>
      </c>
      <c r="F12" s="42">
        <f t="shared" si="1"/>
        <v>30</v>
      </c>
    </row>
    <row r="13">
      <c r="B13" s="9" t="s">
        <v>24</v>
      </c>
      <c r="C13" s="13">
        <v>0.06</v>
      </c>
      <c r="D13" s="14">
        <v>28000.0</v>
      </c>
      <c r="E13" s="16">
        <v>6.0</v>
      </c>
      <c r="F13" s="42">
        <f t="shared" si="1"/>
        <v>6.428571429</v>
      </c>
    </row>
    <row r="14">
      <c r="B14" s="9" t="s">
        <v>25</v>
      </c>
      <c r="C14" s="13">
        <v>0.04</v>
      </c>
      <c r="D14" s="14">
        <v>5000.0</v>
      </c>
      <c r="E14" s="16">
        <v>10.0</v>
      </c>
      <c r="F14" s="42">
        <f t="shared" si="1"/>
        <v>40</v>
      </c>
    </row>
    <row r="15">
      <c r="B15" s="9" t="s">
        <v>26</v>
      </c>
      <c r="C15" s="13">
        <v>0.247</v>
      </c>
      <c r="D15" s="14">
        <v>30000.0</v>
      </c>
      <c r="E15" s="16">
        <v>90.0</v>
      </c>
      <c r="F15" s="42">
        <f t="shared" si="1"/>
        <v>370.5</v>
      </c>
    </row>
    <row r="16" ht="27.75" customHeight="1">
      <c r="B16" s="17" t="s">
        <v>66</v>
      </c>
      <c r="D16" s="19"/>
      <c r="E16" s="19"/>
      <c r="F16" s="43">
        <f>SUM(F6:F15)</f>
        <v>1832.37128</v>
      </c>
    </row>
    <row r="18" ht="27.75" customHeight="1">
      <c r="B18" s="27" t="s">
        <v>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F2"/>
    <mergeCell ref="B3:F3"/>
    <mergeCell ref="B18:F18"/>
  </mergeCells>
  <printOptions/>
  <pageMargins bottom="1.0" footer="0.0" header="0.0" left="0.75" right="0.75" top="1.0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.0"/>
    <col customWidth="1" min="2" max="2" width="38.0"/>
    <col customWidth="1" min="3" max="3" width="20.0"/>
    <col customWidth="1" min="4" max="5" width="22.0"/>
    <col customWidth="1" min="6" max="6" width="3.0"/>
    <col customWidth="1" min="7" max="26" width="8.71"/>
  </cols>
  <sheetData>
    <row r="2" ht="27.75" customHeight="1">
      <c r="B2" s="44" t="s">
        <v>68</v>
      </c>
      <c r="C2" s="2"/>
      <c r="D2" s="2"/>
      <c r="E2" s="3"/>
    </row>
    <row r="3">
      <c r="B3" s="4" t="s">
        <v>69</v>
      </c>
    </row>
    <row r="5" ht="25.5" customHeight="1">
      <c r="B5" s="17" t="s">
        <v>70</v>
      </c>
      <c r="C5" s="29" t="s">
        <v>71</v>
      </c>
      <c r="D5" s="17" t="s">
        <v>72</v>
      </c>
      <c r="E5" s="17" t="s">
        <v>73</v>
      </c>
    </row>
    <row r="6" ht="24.0" customHeight="1">
      <c r="B6" s="9" t="s">
        <v>74</v>
      </c>
      <c r="C6" s="9" t="s">
        <v>75</v>
      </c>
      <c r="D6" s="9" t="s">
        <v>76</v>
      </c>
      <c r="E6" s="9" t="s">
        <v>77</v>
      </c>
    </row>
    <row r="7" ht="24.0" customHeight="1">
      <c r="B7" s="9" t="s">
        <v>78</v>
      </c>
      <c r="C7" s="9" t="s">
        <v>79</v>
      </c>
      <c r="D7" s="9" t="s">
        <v>80</v>
      </c>
      <c r="E7" s="9" t="s">
        <v>81</v>
      </c>
    </row>
    <row r="9" ht="24.0" customHeight="1">
      <c r="B9" s="9" t="s">
        <v>56</v>
      </c>
      <c r="C9" s="9" t="s">
        <v>82</v>
      </c>
      <c r="D9" s="9" t="s">
        <v>82</v>
      </c>
      <c r="E9" s="9" t="s">
        <v>82</v>
      </c>
    </row>
    <row r="10" ht="24.0" customHeight="1">
      <c r="B10" s="6" t="s">
        <v>55</v>
      </c>
      <c r="C10" s="9" t="s">
        <v>83</v>
      </c>
      <c r="D10" s="9" t="s">
        <v>84</v>
      </c>
      <c r="E10" s="9" t="s">
        <v>85</v>
      </c>
    </row>
    <row r="11" ht="24.0" customHeight="1">
      <c r="B11" s="9" t="s">
        <v>86</v>
      </c>
      <c r="C11" s="9" t="s">
        <v>87</v>
      </c>
      <c r="D11" s="9" t="s">
        <v>88</v>
      </c>
      <c r="E11" s="9" t="s">
        <v>89</v>
      </c>
    </row>
    <row r="12" ht="24.0" customHeight="1">
      <c r="B12" s="9" t="s">
        <v>90</v>
      </c>
      <c r="C12" s="9" t="s">
        <v>91</v>
      </c>
      <c r="D12" s="9" t="s">
        <v>91</v>
      </c>
      <c r="E12" s="9" t="s">
        <v>91</v>
      </c>
    </row>
    <row r="13" ht="24.0" customHeight="1">
      <c r="B13" s="9" t="s">
        <v>92</v>
      </c>
      <c r="C13" s="9" t="s">
        <v>93</v>
      </c>
      <c r="D13" s="9" t="s">
        <v>93</v>
      </c>
      <c r="E13" s="9" t="s">
        <v>93</v>
      </c>
    </row>
    <row r="15" ht="24.0" customHeight="1">
      <c r="B15" s="9" t="s">
        <v>94</v>
      </c>
      <c r="C15" s="9" t="s">
        <v>95</v>
      </c>
      <c r="D15" s="9" t="s">
        <v>96</v>
      </c>
      <c r="E15" s="9" t="s">
        <v>97</v>
      </c>
    </row>
    <row r="16" ht="24.0" customHeight="1">
      <c r="B16" s="9" t="s">
        <v>98</v>
      </c>
      <c r="C16" s="9" t="s">
        <v>99</v>
      </c>
      <c r="D16" s="9" t="s">
        <v>100</v>
      </c>
      <c r="E16" s="9" t="s">
        <v>101</v>
      </c>
    </row>
    <row r="17" ht="24.0" customHeight="1">
      <c r="B17" s="9" t="s">
        <v>102</v>
      </c>
      <c r="C17" s="9" t="s">
        <v>103</v>
      </c>
      <c r="D17" s="9" t="s">
        <v>103</v>
      </c>
      <c r="E17" s="9" t="s">
        <v>103</v>
      </c>
    </row>
    <row r="18" ht="24.0" customHeight="1">
      <c r="B18" s="9" t="s">
        <v>104</v>
      </c>
      <c r="C18" s="9" t="s">
        <v>105</v>
      </c>
      <c r="D18" s="9" t="s">
        <v>105</v>
      </c>
      <c r="E18" s="9" t="s">
        <v>105</v>
      </c>
    </row>
    <row r="19" ht="24.0" customHeight="1">
      <c r="B19" s="9" t="s">
        <v>106</v>
      </c>
      <c r="C19" s="9" t="s">
        <v>107</v>
      </c>
      <c r="D19" s="9" t="s">
        <v>107</v>
      </c>
      <c r="E19" s="9" t="s">
        <v>107</v>
      </c>
    </row>
    <row r="20" ht="24.0" customHeight="1">
      <c r="B20" s="9" t="s">
        <v>108</v>
      </c>
      <c r="C20" s="9" t="s">
        <v>109</v>
      </c>
      <c r="D20" s="9" t="s">
        <v>109</v>
      </c>
      <c r="E20" s="9" t="s">
        <v>107</v>
      </c>
    </row>
    <row r="21" ht="24.0" customHeight="1">
      <c r="B21" s="9" t="s">
        <v>110</v>
      </c>
      <c r="C21" s="9" t="s">
        <v>109</v>
      </c>
      <c r="D21" s="9" t="s">
        <v>107</v>
      </c>
      <c r="E21" s="9" t="s">
        <v>107</v>
      </c>
    </row>
    <row r="22" ht="15.75" customHeight="1"/>
    <row r="23" ht="24.0" customHeight="1">
      <c r="B23" s="9" t="s">
        <v>111</v>
      </c>
      <c r="C23" s="9" t="s">
        <v>112</v>
      </c>
      <c r="D23" s="9" t="s">
        <v>113</v>
      </c>
      <c r="E23" s="9" t="s">
        <v>114</v>
      </c>
    </row>
    <row r="24" ht="15.75" customHeight="1"/>
    <row r="25" ht="24.0" customHeight="1">
      <c r="B25" s="9" t="s">
        <v>115</v>
      </c>
      <c r="C25" s="38">
        <f>5*500000*0.00366474255952381</f>
        <v>9161.856399</v>
      </c>
      <c r="D25" s="21">
        <f>50*500000*0.00366474255952381</f>
        <v>91618.56399</v>
      </c>
      <c r="E25" s="38">
        <f>200*500000*0.00366474255952381</f>
        <v>366474.256</v>
      </c>
    </row>
    <row r="26" ht="24.0" customHeight="1">
      <c r="B26" s="6" t="s">
        <v>116</v>
      </c>
      <c r="C26" s="38">
        <f>5*1500000*0.00366474255952381</f>
        <v>27485.5692</v>
      </c>
      <c r="D26" s="21">
        <f>50*1500000*0.00366474255952381</f>
        <v>274855.692</v>
      </c>
      <c r="E26" s="38">
        <f>200*1500000*0.00366474255952381</f>
        <v>1099422.768</v>
      </c>
    </row>
    <row r="27" ht="15.75" customHeight="1"/>
    <row r="28" ht="24.0" customHeight="1">
      <c r="B28" s="6" t="s">
        <v>117</v>
      </c>
      <c r="C28" s="38">
        <f>50000+11*3499</f>
        <v>88489</v>
      </c>
      <c r="D28" s="21">
        <f>50000+11*9999</f>
        <v>159989</v>
      </c>
      <c r="E28" s="38">
        <f>50000+11*24999</f>
        <v>324989</v>
      </c>
    </row>
    <row r="29" ht="24.0" customHeight="1">
      <c r="B29" s="6" t="s">
        <v>118</v>
      </c>
      <c r="C29" s="38">
        <f t="shared" ref="C29:E29" si="1">C26*12-C28</f>
        <v>241337.8304</v>
      </c>
      <c r="D29" s="21">
        <f t="shared" si="1"/>
        <v>3138279.304</v>
      </c>
      <c r="E29" s="38">
        <f t="shared" si="1"/>
        <v>12868084.21</v>
      </c>
    </row>
    <row r="30" ht="24.0" customHeight="1">
      <c r="B30" s="6" t="s">
        <v>119</v>
      </c>
      <c r="C30" s="39">
        <f>IFERROR(3499/C26,"—")</f>
        <v>0.1273031668</v>
      </c>
      <c r="D30" s="40">
        <f>IFERROR(9999/D26,"—")</f>
        <v>0.03637909016</v>
      </c>
      <c r="E30" s="39">
        <f>IFERROR(24999/E26,"—")</f>
        <v>0.0227382957</v>
      </c>
    </row>
    <row r="31" ht="15.75" customHeight="1"/>
    <row r="32" ht="31.5" customHeight="1">
      <c r="B32" s="27" t="s">
        <v>120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E2"/>
    <mergeCell ref="B3:E3"/>
    <mergeCell ref="B32:E32"/>
  </mergeCells>
  <printOptions/>
  <pageMargins bottom="1.0" footer="0.0" header="0.0" left="0.75" right="0.75" top="1.0"/>
  <pageSetup paperSize="9" orientation="portrait"/>
  <drawing r:id="rId1"/>
</worksheet>
</file>